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UNSW\unigraph3\"/>
    </mc:Choice>
  </mc:AlternateContent>
  <xr:revisionPtr revIDLastSave="0" documentId="8_{D6CD8908-4278-4746-8399-DBF65F2DCD97}" xr6:coauthVersionLast="47" xr6:coauthVersionMax="47" xr10:uidLastSave="{00000000-0000-0000-0000-000000000000}"/>
  <bookViews>
    <workbookView xWindow="-110" yWindow="-110" windowWidth="25820" windowHeight="28300" xr2:uid="{9EA8C4CD-C1EF-482A-B697-521902D18931}"/>
  </bookViews>
  <sheets>
    <sheet name="CALC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" i="3" l="1"/>
  <c r="E5" i="3"/>
  <c r="E4" i="3"/>
  <c r="E3" i="3"/>
  <c r="E2" i="3"/>
  <c r="C8" i="3"/>
  <c r="C9" i="3" s="1"/>
  <c r="C11" i="3" s="1"/>
  <c r="I38" i="3"/>
  <c r="I37" i="3"/>
  <c r="I35" i="3"/>
  <c r="H31" i="3"/>
  <c r="H29" i="3"/>
  <c r="C27" i="3"/>
  <c r="H26" i="3"/>
  <c r="H25" i="3"/>
  <c r="I23" i="3"/>
  <c r="H23" i="3"/>
  <c r="C21" i="3"/>
  <c r="I20" i="3"/>
  <c r="H20" i="3"/>
  <c r="I19" i="3"/>
  <c r="C19" i="3"/>
  <c r="I17" i="3"/>
  <c r="H17" i="3"/>
  <c r="C17" i="3"/>
  <c r="I16" i="3"/>
  <c r="C16" i="3"/>
  <c r="C15" i="3"/>
  <c r="I11" i="3"/>
  <c r="I12" i="3" s="1"/>
  <c r="H9" i="3"/>
  <c r="H8" i="3"/>
  <c r="I6" i="3"/>
  <c r="H6" i="3"/>
  <c r="H4" i="3"/>
  <c r="H19" i="3" s="1"/>
  <c r="I3" i="3"/>
  <c r="C13" i="3" l="1"/>
  <c r="C25" i="3"/>
  <c r="H13" i="3"/>
  <c r="C22" i="3"/>
  <c r="C14" i="3"/>
  <c r="I28" i="3"/>
  <c r="I22" i="3"/>
  <c r="H10" i="3"/>
  <c r="I29" i="3"/>
  <c r="I7" i="3"/>
  <c r="I31" i="3"/>
  <c r="H32" i="3"/>
  <c r="C20" i="3"/>
  <c r="I32" i="3"/>
  <c r="I10" i="3"/>
  <c r="H12" i="3"/>
  <c r="I26" i="3"/>
  <c r="H35" i="3"/>
  <c r="I9" i="3"/>
  <c r="I34" i="3"/>
  <c r="C18" i="3"/>
  <c r="H38" i="3"/>
  <c r="H34" i="3"/>
  <c r="C10" i="3" l="1"/>
  <c r="C24" i="3" s="1"/>
  <c r="C23" i="3" l="1"/>
  <c r="C26" i="3" s="1"/>
</calcChain>
</file>

<file path=xl/sharedStrings.xml><?xml version="1.0" encoding="utf-8"?>
<sst xmlns="http://schemas.openxmlformats.org/spreadsheetml/2006/main" count="65" uniqueCount="45">
  <si>
    <t>T</t>
  </si>
  <si>
    <t>RH</t>
  </si>
  <si>
    <t>U</t>
  </si>
  <si>
    <t>FMI</t>
  </si>
  <si>
    <t>FDI</t>
  </si>
  <si>
    <t>FL</t>
  </si>
  <si>
    <t>X</t>
  </si>
  <si>
    <t>Y</t>
  </si>
  <si>
    <t>FMI'</t>
  </si>
  <si>
    <t>FDI'</t>
  </si>
  <si>
    <t>BI</t>
  </si>
  <si>
    <t>°C</t>
  </si>
  <si>
    <t>%</t>
  </si>
  <si>
    <t>km/hr</t>
  </si>
  <si>
    <t>t/ha</t>
  </si>
  <si>
    <t>ROS</t>
  </si>
  <si>
    <t>kW/m</t>
  </si>
  <si>
    <t>Too cool</t>
  </si>
  <si>
    <t>Too humid</t>
  </si>
  <si>
    <t>Dangerously low RH</t>
  </si>
  <si>
    <t>Dangerously dry fuel</t>
  </si>
  <si>
    <t>Backing fire</t>
  </si>
  <si>
    <t>VLS potential</t>
  </si>
  <si>
    <t>Strong wind</t>
  </si>
  <si>
    <t>Highly likely dynamic fire behaviour</t>
  </si>
  <si>
    <t>Possible dynamic fire behaviour</t>
  </si>
  <si>
    <t>BI too high for direct attack</t>
  </si>
  <si>
    <t>Fuel load insensitivity</t>
  </si>
  <si>
    <t>Block 1</t>
  </si>
  <si>
    <t>Block 2</t>
  </si>
  <si>
    <t>Block 3</t>
  </si>
  <si>
    <t>INPUTS</t>
  </si>
  <si>
    <t>DERIVED VALUES</t>
  </si>
  <si>
    <t>CONDITION FLAGS</t>
  </si>
  <si>
    <t>Low FMI</t>
  </si>
  <si>
    <t>Dry fuel possible by mxing down</t>
  </si>
  <si>
    <t>Other</t>
  </si>
  <si>
    <t>Zone of normal fire control</t>
  </si>
  <si>
    <t>C-Haines valid for pyroCbs</t>
  </si>
  <si>
    <t>DF</t>
  </si>
  <si>
    <t>Up to 10</t>
  </si>
  <si>
    <t>Bloe</t>
  </si>
  <si>
    <t>dot</t>
  </si>
  <si>
    <t>Magenta</t>
  </si>
  <si>
    <t>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</si>
</sst>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7" tint="-0.249977111117893"/>
      <name val="Aptos Narrow"/>
      <family val="2"/>
      <scheme val="minor"/>
    </font>
    <font>
      <b/>
      <sz val="14"/>
      <color theme="8" tint="0.39997558519241921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Fill="1"/>
    <xf numFmtId="0" fontId="0" fillId="0" borderId="0" xfId="0" applyFont="1" applyFill="1"/>
    <xf numFmtId="0" fontId="3" fillId="0" borderId="0" xfId="0" applyFont="1" applyFill="1"/>
    <xf numFmtId="0" fontId="4" fillId="0" borderId="0" xfId="0" applyFont="1"/>
    <xf numFmtId="0" fontId="6" fillId="0" borderId="0" xfId="0" applyFont="1" applyFill="1"/>
    <xf numFmtId="165" fontId="0" fillId="0" borderId="0" xfId="0" applyNumberFormat="1" applyFont="1"/>
    <xf numFmtId="0" fontId="6" fillId="0" borderId="0" xfId="0" applyFont="1"/>
    <xf numFmtId="0" fontId="3" fillId="0" borderId="0" xfId="0" applyFont="1"/>
    <xf numFmtId="165" fontId="0" fillId="0" borderId="0" xfId="0" applyNumberFormat="1"/>
    <xf numFmtId="0" fontId="3" fillId="0" borderId="3" xfId="0" applyFont="1" applyBorder="1"/>
    <xf numFmtId="0" fontId="3" fillId="0" borderId="0" xfId="0" applyFont="1" applyBorder="1"/>
    <xf numFmtId="0" fontId="2" fillId="0" borderId="5" xfId="0" applyFont="1" applyBorder="1"/>
    <xf numFmtId="0" fontId="2" fillId="0" borderId="7" xfId="0" applyFont="1" applyBorder="1"/>
    <xf numFmtId="0" fontId="3" fillId="0" borderId="8" xfId="0" applyFont="1" applyBorder="1"/>
    <xf numFmtId="0" fontId="1" fillId="0" borderId="5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/>
    <xf numFmtId="0" fontId="9" fillId="0" borderId="2" xfId="0" applyFont="1" applyBorder="1"/>
    <xf numFmtId="0" fontId="0" fillId="0" borderId="4" xfId="0" applyBorder="1"/>
    <xf numFmtId="0" fontId="0" fillId="0" borderId="6" xfId="0" applyBorder="1"/>
    <xf numFmtId="0" fontId="1" fillId="0" borderId="6" xfId="0" applyFont="1" applyBorder="1"/>
    <xf numFmtId="0" fontId="0" fillId="0" borderId="9" xfId="0" applyBorder="1"/>
    <xf numFmtId="0" fontId="3" fillId="0" borderId="11" xfId="0" applyFont="1" applyFill="1" applyBorder="1"/>
    <xf numFmtId="0" fontId="0" fillId="0" borderId="12" xfId="0" applyBorder="1"/>
  </cellXfs>
  <cellStyles count="1">
    <cellStyle name="Normal" xfId="0" builtinId="0"/>
  </cellStyles>
  <dxfs count="13"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49961851863155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065919125198355E-2"/>
          <c:y val="1.5463137193201144E-2"/>
          <c:w val="0.94647922994382838"/>
          <c:h val="0.9622012201943972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circle"/>
              <c:size val="18"/>
              <c:spPr>
                <a:solidFill>
                  <a:schemeClr val="tx2">
                    <a:lumMod val="50000"/>
                    <a:lumOff val="5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</c:dPt>
          <c:dPt>
            <c:idx val="6"/>
            <c:marker>
              <c:symbol val="circle"/>
              <c:size val="18"/>
              <c:spPr>
                <a:solidFill>
                  <a:schemeClr val="accent5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</c:dPt>
          <c:dPt>
            <c:idx val="9"/>
            <c:marker>
              <c:symbol val="circle"/>
              <c:size val="18"/>
              <c:spPr>
                <a:solidFill>
                  <a:srgbClr val="FF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</c:dPt>
          <c:xVal>
            <c:numRef>
              <c:f>CALCS!$H$3:$H$14</c:f>
              <c:numCache>
                <c:formatCode>0.0</c:formatCode>
                <c:ptCount val="12"/>
                <c:pt idx="0">
                  <c:v>0</c:v>
                </c:pt>
                <c:pt idx="1">
                  <c:v>80</c:v>
                </c:pt>
                <c:pt idx="3">
                  <c:v>80</c:v>
                </c:pt>
                <c:pt idx="4">
                  <c:v>100</c:v>
                </c:pt>
                <c:pt idx="5">
                  <c:v>160</c:v>
                </c:pt>
                <c:pt idx="6">
                  <c:v>160</c:v>
                </c:pt>
                <c:pt idx="7">
                  <c:v>143.90243902439025</c:v>
                </c:pt>
                <c:pt idx="8">
                  <c:v>100</c:v>
                </c:pt>
                <c:pt idx="9">
                  <c:v>143.90243902439025</c:v>
                </c:pt>
                <c:pt idx="10">
                  <c:v>143.90243902439025</c:v>
                </c:pt>
              </c:numCache>
            </c:numRef>
          </c:xVal>
          <c:yVal>
            <c:numRef>
              <c:f>CALCS!$I$3:$I$14</c:f>
              <c:numCache>
                <c:formatCode>0.0</c:formatCode>
                <c:ptCount val="12"/>
                <c:pt idx="0">
                  <c:v>142</c:v>
                </c:pt>
                <c:pt idx="1">
                  <c:v>100</c:v>
                </c:pt>
                <c:pt idx="3">
                  <c:v>142</c:v>
                </c:pt>
                <c:pt idx="4">
                  <c:v>127</c:v>
                </c:pt>
                <c:pt idx="5">
                  <c:v>190</c:v>
                </c:pt>
                <c:pt idx="6">
                  <c:v>127</c:v>
                </c:pt>
                <c:pt idx="7">
                  <c:v>143.90243902439025</c:v>
                </c:pt>
                <c:pt idx="8">
                  <c:v>55</c:v>
                </c:pt>
                <c:pt idx="9">
                  <c:v>55</c:v>
                </c:pt>
                <c:pt idx="1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C4-4B08-8794-C716E1D45A23}"/>
            </c:ext>
          </c:extLst>
        </c:ser>
        <c:ser>
          <c:idx val="1"/>
          <c:order val="1"/>
          <c:spPr>
            <a:ln w="6350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CALCS!$H$16:$H$17</c:f>
              <c:numCache>
                <c:formatCode>0.0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CALCS!$I$16:$I$17</c:f>
              <c:numCache>
                <c:formatCode>0.0</c:formatCode>
                <c:ptCount val="2"/>
                <c:pt idx="0">
                  <c:v>142</c:v>
                </c:pt>
                <c:pt idx="1">
                  <c:v>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C4-4B08-8794-C716E1D45A23}"/>
            </c:ext>
          </c:extLst>
        </c:ser>
        <c:ser>
          <c:idx val="2"/>
          <c:order val="2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CALCS!$H$19:$H$20</c:f>
              <c:numCache>
                <c:formatCode>0.0</c:formatCode>
                <c:ptCount val="2"/>
                <c:pt idx="0">
                  <c:v>80</c:v>
                </c:pt>
                <c:pt idx="1">
                  <c:v>80</c:v>
                </c:pt>
              </c:numCache>
            </c:numRef>
          </c:xVal>
          <c:yVal>
            <c:numRef>
              <c:f>CALCS!$I$19:$I$20</c:f>
              <c:numCache>
                <c:formatCode>0.0</c:formatCode>
                <c:ptCount val="2"/>
                <c:pt idx="0">
                  <c:v>100</c:v>
                </c:pt>
                <c:pt idx="1">
                  <c:v>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C4-4B08-8794-C716E1D45A23}"/>
            </c:ext>
          </c:extLst>
        </c:ser>
        <c:ser>
          <c:idx val="3"/>
          <c:order val="3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CALCS!$H$22:$H$23</c:f>
              <c:numCache>
                <c:formatCode>0.0</c:formatCode>
                <c:ptCount val="2"/>
                <c:pt idx="0">
                  <c:v>100</c:v>
                </c:pt>
                <c:pt idx="1">
                  <c:v>80</c:v>
                </c:pt>
              </c:numCache>
            </c:numRef>
          </c:xVal>
          <c:yVal>
            <c:numRef>
              <c:f>CALCS!$I$22:$I$23</c:f>
              <c:numCache>
                <c:formatCode>0.0</c:formatCode>
                <c:ptCount val="2"/>
                <c:pt idx="0">
                  <c:v>127</c:v>
                </c:pt>
                <c:pt idx="1">
                  <c:v>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8C4-4B08-8794-C716E1D45A23}"/>
            </c:ext>
          </c:extLst>
        </c:ser>
        <c:ser>
          <c:idx val="4"/>
          <c:order val="4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CALCS!$H$25:$H$26</c:f>
              <c:numCache>
                <c:formatCode>0.0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xVal>
          <c:yVal>
            <c:numRef>
              <c:f>CALCS!$I$25:$I$26</c:f>
              <c:numCache>
                <c:formatCode>0.0</c:formatCode>
                <c:ptCount val="2"/>
                <c:pt idx="0">
                  <c:v>190</c:v>
                </c:pt>
                <c:pt idx="1">
                  <c:v>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8C4-4B08-8794-C716E1D45A23}"/>
            </c:ext>
          </c:extLst>
        </c:ser>
        <c:ser>
          <c:idx val="5"/>
          <c:order val="5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CALCS!$H$28:$H$29</c:f>
              <c:numCache>
                <c:formatCode>0.0</c:formatCode>
                <c:ptCount val="2"/>
                <c:pt idx="0">
                  <c:v>100</c:v>
                </c:pt>
                <c:pt idx="1">
                  <c:v>160</c:v>
                </c:pt>
              </c:numCache>
            </c:numRef>
          </c:xVal>
          <c:yVal>
            <c:numRef>
              <c:f>CALCS!$I$28:$I$29</c:f>
              <c:numCache>
                <c:formatCode>0.0</c:formatCode>
                <c:ptCount val="2"/>
                <c:pt idx="0">
                  <c:v>127</c:v>
                </c:pt>
                <c:pt idx="1">
                  <c:v>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8C4-4B08-8794-C716E1D45A23}"/>
            </c:ext>
          </c:extLst>
        </c:ser>
        <c:ser>
          <c:idx val="6"/>
          <c:order val="6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CALCS!$H$31:$H$32</c:f>
              <c:numCache>
                <c:formatCode>0.0</c:formatCode>
                <c:ptCount val="2"/>
                <c:pt idx="0">
                  <c:v>160</c:v>
                </c:pt>
                <c:pt idx="1">
                  <c:v>143.90243902439025</c:v>
                </c:pt>
              </c:numCache>
            </c:numRef>
          </c:xVal>
          <c:yVal>
            <c:numRef>
              <c:f>CALCS!$I$31:$I$32</c:f>
              <c:numCache>
                <c:formatCode>0.0</c:formatCode>
                <c:ptCount val="2"/>
                <c:pt idx="0">
                  <c:v>127</c:v>
                </c:pt>
                <c:pt idx="1">
                  <c:v>143.90243902439025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8C4-4B08-8794-C716E1D45A23}"/>
            </c:ext>
          </c:extLst>
        </c:ser>
        <c:ser>
          <c:idx val="7"/>
          <c:order val="7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CALCS!$H$34:$H$35</c:f>
              <c:numCache>
                <c:formatCode>0.0</c:formatCode>
                <c:ptCount val="2"/>
                <c:pt idx="0">
                  <c:v>143.90243902439025</c:v>
                </c:pt>
                <c:pt idx="1">
                  <c:v>143.90243902439025</c:v>
                </c:pt>
              </c:numCache>
            </c:numRef>
          </c:xVal>
          <c:yVal>
            <c:numRef>
              <c:f>CALCS!$I$34:$I$35</c:f>
              <c:numCache>
                <c:formatCode>0.0</c:formatCode>
                <c:ptCount val="2"/>
                <c:pt idx="0">
                  <c:v>143.90243902439025</c:v>
                </c:pt>
                <c:pt idx="1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8C4-4B08-8794-C716E1D45A23}"/>
            </c:ext>
          </c:extLst>
        </c:ser>
        <c:ser>
          <c:idx val="8"/>
          <c:order val="8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CALCS!$H$37:$H$38</c:f>
              <c:numCache>
                <c:formatCode>0.0</c:formatCode>
                <c:ptCount val="2"/>
                <c:pt idx="0">
                  <c:v>100</c:v>
                </c:pt>
                <c:pt idx="1">
                  <c:v>143.90243902439025</c:v>
                </c:pt>
              </c:numCache>
            </c:numRef>
          </c:xVal>
          <c:yVal>
            <c:numRef>
              <c:f>CALCS!$I$37:$I$38</c:f>
              <c:numCache>
                <c:formatCode>0.0</c:formatCode>
                <c:ptCount val="2"/>
                <c:pt idx="0">
                  <c:v>55</c:v>
                </c:pt>
                <c:pt idx="1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8C4-4B08-8794-C716E1D45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440928"/>
        <c:axId val="408441408"/>
      </c:scatterChart>
      <c:valAx>
        <c:axId val="408440928"/>
        <c:scaling>
          <c:orientation val="minMax"/>
          <c:max val="270"/>
          <c:min val="-5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41408"/>
        <c:crosses val="autoZero"/>
        <c:crossBetween val="midCat"/>
      </c:valAx>
      <c:valAx>
        <c:axId val="408441408"/>
        <c:scaling>
          <c:orientation val="minMax"/>
          <c:max val="220"/>
          <c:min val="-5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40928"/>
        <c:crosses val="autoZero"/>
        <c:crossBetween val="midCat"/>
      </c:valAx>
      <c:spPr>
        <a:blipFill dpi="0" rotWithShape="1">
          <a:blip xmlns:r="http://schemas.openxmlformats.org/officeDocument/2006/relationships" r:embed="rId3">
            <a:alphaModFix amt="58000"/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433291</xdr:colOff>
      <xdr:row>0</xdr:row>
      <xdr:rowOff>197225</xdr:rowOff>
    </xdr:from>
    <xdr:to>
      <xdr:col>22</xdr:col>
      <xdr:colOff>425823</xdr:colOff>
      <xdr:row>38</xdr:row>
      <xdr:rowOff>59764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36285C-5993-460C-B68C-A0E3837F5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7469</xdr:colOff>
      <xdr:row>27</xdr:row>
      <xdr:rowOff>156882</xdr:rowOff>
    </xdr:from>
    <xdr:to>
      <xdr:col>5</xdr:col>
      <xdr:colOff>14941</xdr:colOff>
      <xdr:row>36</xdr:row>
      <xdr:rowOff>171824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450312-135E-4D37-B5AB-B137BE7D44C2}"/>
            </a:ext>
          </a:extLst>
        </xdr:cNvPr>
        <xdr:cNvSpPr txBox="1"/>
      </xdr:nvSpPr>
      <xdr:spPr>
        <a:xfrm>
          <a:off x="351116" y="6932706"/>
          <a:ext cx="4512237" cy="1695824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/>
            <a:t>This</a:t>
          </a:r>
          <a:r>
            <a:rPr lang="en-AU" sz="1400" b="1" baseline="0"/>
            <a:t> material is from a talk given at the 8th IFBFC in Hobart in April 2026.</a:t>
          </a:r>
        </a:p>
        <a:p>
          <a:r>
            <a:rPr lang="en-AU" sz="1400" b="1" baseline="0"/>
            <a:t>It has been developed by Rick McRae, UNSW Canberra, Bushfire Research Group.</a:t>
          </a:r>
        </a:p>
        <a:p>
          <a:endParaRPr lang="en-AU" sz="1400" b="1" baseline="0"/>
        </a:p>
        <a:p>
          <a:r>
            <a:rPr lang="en-AU" sz="1400" b="1" baseline="0"/>
            <a:t>Any feedback or comments can be sent to:</a:t>
          </a:r>
        </a:p>
        <a:p>
          <a:r>
            <a:rPr lang="en-AU" sz="1400" b="1" baseline="0"/>
            <a:t>r.mcrae@unsw.edu.au</a:t>
          </a:r>
          <a:endParaRPr lang="en-AU" sz="1400" b="1"/>
        </a:p>
      </xdr:txBody>
    </xdr:sp>
    <xdr:clientData/>
  </xdr:twoCellAnchor>
  <xdr:twoCellAnchor>
    <xdr:from>
      <xdr:col>4</xdr:col>
      <xdr:colOff>7470</xdr:colOff>
      <xdr:row>8</xdr:row>
      <xdr:rowOff>97117</xdr:rowOff>
    </xdr:from>
    <xdr:to>
      <xdr:col>4</xdr:col>
      <xdr:colOff>2091764</xdr:colOff>
      <xdr:row>11</xdr:row>
      <xdr:rowOff>74705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F0DCAF-639C-5352-580C-0211CE989132}"/>
            </a:ext>
          </a:extLst>
        </xdr:cNvPr>
        <xdr:cNvSpPr txBox="1"/>
      </xdr:nvSpPr>
      <xdr:spPr>
        <a:xfrm>
          <a:off x="2517588" y="2263588"/>
          <a:ext cx="2084294" cy="8068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/>
            <a:t>NOTE: This version does not include slope effects on ROS or BI.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E4F1-8E52-418A-85C6-529FEC3A52A9}">
  <dimension ref="A1:I38"/>
  <sheetViews>
    <sheetView tabSelected="1" zoomScale="85" zoomScaleNormal="85" workbookViewId="0">
      <selection activeCell="Y17" sqref="Y17"/>
    </sheetView>
  </sheetViews>
  <sheetFormatPr defaultRowHeight="14.5" x14ac:dyDescent="0.35"/>
  <cols>
    <col min="1" max="1" width="4.90625" customWidth="1"/>
    <col min="2" max="2" width="9.453125" customWidth="1"/>
    <col min="3" max="3" width="9.6328125" customWidth="1"/>
    <col min="4" max="4" width="12" customWidth="1"/>
    <col min="5" max="5" width="33.453125" customWidth="1"/>
  </cols>
  <sheetData>
    <row r="1" spans="1:9" ht="21" x14ac:dyDescent="0.5">
      <c r="A1" s="9" t="s">
        <v>31</v>
      </c>
      <c r="D1" s="6"/>
    </row>
    <row r="2" spans="1:9" ht="21" x14ac:dyDescent="0.5">
      <c r="B2" s="26" t="s">
        <v>0</v>
      </c>
      <c r="C2" s="25">
        <v>35</v>
      </c>
      <c r="D2" s="6" t="s">
        <v>11</v>
      </c>
      <c r="E2" s="10" t="str">
        <f>IF($C$2&gt;50,"&lt;&lt;&lt;Possible value error","")</f>
        <v/>
      </c>
      <c r="H2" t="s">
        <v>6</v>
      </c>
      <c r="I2" t="s">
        <v>7</v>
      </c>
    </row>
    <row r="3" spans="1:9" ht="21" x14ac:dyDescent="0.5">
      <c r="B3" s="26" t="s">
        <v>1</v>
      </c>
      <c r="C3" s="25">
        <v>16</v>
      </c>
      <c r="D3" s="6" t="s">
        <v>12</v>
      </c>
      <c r="E3" s="10" t="str">
        <f>IF(OR($C$3&gt;100,$C$3&lt;0),"&lt;&lt;&lt;Value error","")</f>
        <v/>
      </c>
      <c r="G3" s="2" t="s">
        <v>1</v>
      </c>
      <c r="H3" s="8">
        <v>0</v>
      </c>
      <c r="I3" s="8">
        <f>(190-3*$C$3)</f>
        <v>142</v>
      </c>
    </row>
    <row r="4" spans="1:9" ht="21" x14ac:dyDescent="0.5">
      <c r="B4" s="26" t="s">
        <v>2</v>
      </c>
      <c r="C4" s="25">
        <v>30</v>
      </c>
      <c r="D4" s="7" t="s">
        <v>13</v>
      </c>
      <c r="E4" s="10" t="str">
        <f>IF($C$4&lt;0,"&lt;&lt;&lt;Value error","")</f>
        <v/>
      </c>
      <c r="F4" s="4"/>
      <c r="G4" s="2" t="s">
        <v>0</v>
      </c>
      <c r="H4" s="8">
        <f>($C$2-15)*4</f>
        <v>80</v>
      </c>
      <c r="I4" s="8">
        <v>100</v>
      </c>
    </row>
    <row r="5" spans="1:9" ht="21" x14ac:dyDescent="0.5">
      <c r="B5" s="26" t="s">
        <v>39</v>
      </c>
      <c r="C5" s="25">
        <v>10</v>
      </c>
      <c r="D5" s="7" t="s">
        <v>40</v>
      </c>
      <c r="E5" s="5" t="str">
        <f>IF(OR($C$5&gt;10,$C$5&lt;0),"&lt;&lt;&lt;Value error","")</f>
        <v/>
      </c>
      <c r="F5" s="4"/>
      <c r="G5" s="2"/>
      <c r="H5" s="8"/>
      <c r="I5" s="8"/>
    </row>
    <row r="6" spans="1:9" ht="21" x14ac:dyDescent="0.5">
      <c r="B6" s="26" t="s">
        <v>5</v>
      </c>
      <c r="C6" s="25">
        <v>15</v>
      </c>
      <c r="D6" s="7" t="s">
        <v>14</v>
      </c>
      <c r="E6" s="5" t="str">
        <f>IF($C$6&gt;30,"&lt;&lt;&lt;Possible value error","")</f>
        <v/>
      </c>
      <c r="F6" s="4"/>
      <c r="G6" s="2" t="s">
        <v>3</v>
      </c>
      <c r="H6" s="8">
        <f>($C$2-15)*4</f>
        <v>80</v>
      </c>
      <c r="I6" s="8">
        <f>(190-3*$C$3)</f>
        <v>142</v>
      </c>
    </row>
    <row r="7" spans="1:9" ht="21.5" thickBot="1" x14ac:dyDescent="0.55000000000000004">
      <c r="A7" s="9" t="s">
        <v>32</v>
      </c>
      <c r="B7" s="27"/>
      <c r="D7" s="7"/>
      <c r="E7" s="3"/>
      <c r="F7" s="4"/>
      <c r="G7" s="2" t="s">
        <v>8</v>
      </c>
      <c r="H7" s="8">
        <v>100</v>
      </c>
      <c r="I7" s="8">
        <f>(190-12*$C$8)</f>
        <v>127</v>
      </c>
    </row>
    <row r="8" spans="1:9" ht="21.5" thickBot="1" x14ac:dyDescent="0.55000000000000004">
      <c r="B8" s="26" t="s">
        <v>3</v>
      </c>
      <c r="C8" s="28">
        <f>10-0.25*( (40-(40-$C$2)*10/$C$5)-($C$3*10/$C$5))</f>
        <v>5.25</v>
      </c>
      <c r="D8" s="7" t="s">
        <v>12</v>
      </c>
      <c r="E8" s="3"/>
      <c r="F8" s="4"/>
      <c r="G8" s="2" t="s">
        <v>2</v>
      </c>
      <c r="H8" s="8">
        <f>(100+2*$C$4)</f>
        <v>160</v>
      </c>
      <c r="I8" s="8">
        <v>190</v>
      </c>
    </row>
    <row r="9" spans="1:9" ht="21.5" thickBot="1" x14ac:dyDescent="0.55000000000000004">
      <c r="B9" s="26" t="s">
        <v>4</v>
      </c>
      <c r="C9" s="29">
        <f>7*$C$4/$C$8</f>
        <v>40</v>
      </c>
      <c r="D9" s="6"/>
      <c r="G9" s="2" t="s">
        <v>4</v>
      </c>
      <c r="H9" s="8">
        <f>(100+2*$C$4)</f>
        <v>160</v>
      </c>
      <c r="I9" s="8">
        <f>(190-12*$C$8)</f>
        <v>127</v>
      </c>
    </row>
    <row r="10" spans="1:9" ht="21.5" thickBot="1" x14ac:dyDescent="0.55000000000000004">
      <c r="B10" s="26" t="s">
        <v>10</v>
      </c>
      <c r="C10" s="30">
        <f>0.62*$C$6^2*$C$9</f>
        <v>5580</v>
      </c>
      <c r="D10" s="7" t="s">
        <v>16</v>
      </c>
      <c r="G10" s="2" t="s">
        <v>9</v>
      </c>
      <c r="H10" s="8">
        <f>100+2*$C$4/($C$4*2+12*$C$8)*90</f>
        <v>143.90243902439025</v>
      </c>
      <c r="I10" s="8">
        <f>190-12*$C$8/($C$4*2+12*$C$8)*90</f>
        <v>143.90243902439025</v>
      </c>
    </row>
    <row r="11" spans="1:9" ht="21.5" thickBot="1" x14ac:dyDescent="0.55000000000000004">
      <c r="B11" s="26" t="s">
        <v>15</v>
      </c>
      <c r="C11" s="28">
        <f>$C$6*$C$9/800</f>
        <v>0.75</v>
      </c>
      <c r="D11" s="9" t="s">
        <v>13</v>
      </c>
      <c r="G11" s="2" t="s">
        <v>5</v>
      </c>
      <c r="H11" s="8">
        <v>100</v>
      </c>
      <c r="I11" s="8">
        <f>10+3*$C$6</f>
        <v>55</v>
      </c>
    </row>
    <row r="12" spans="1:9" ht="21.5" thickBot="1" x14ac:dyDescent="0.55000000000000004">
      <c r="A12" s="9" t="s">
        <v>33</v>
      </c>
      <c r="E12" s="1"/>
      <c r="G12" s="2" t="s">
        <v>10</v>
      </c>
      <c r="H12" s="8">
        <f>100+2*$C$4/($C$4*2+12*$C$8)*90</f>
        <v>143.90243902439025</v>
      </c>
      <c r="I12" s="8">
        <f>I11</f>
        <v>55</v>
      </c>
    </row>
    <row r="13" spans="1:9" ht="18.5" x14ac:dyDescent="0.45">
      <c r="B13" s="31" t="s">
        <v>28</v>
      </c>
      <c r="C13" s="21">
        <f>IF($C$8&gt;5,0,1)</f>
        <v>0</v>
      </c>
      <c r="D13" s="12" t="s">
        <v>34</v>
      </c>
      <c r="E13" s="34"/>
      <c r="G13" s="2" t="s">
        <v>4</v>
      </c>
      <c r="H13" s="8">
        <f>100+2*$C$4/($C$4*2+12*$C$8)*90</f>
        <v>143.90243902439025</v>
      </c>
      <c r="I13" s="8">
        <v>10</v>
      </c>
    </row>
    <row r="14" spans="1:9" ht="18.5" x14ac:dyDescent="0.45">
      <c r="B14" s="18" t="s">
        <v>41</v>
      </c>
      <c r="C14" s="22">
        <f>IF(AND($C$8&lt;=7.5,$C$8&gt;5),1,0)</f>
        <v>1</v>
      </c>
      <c r="D14" s="13" t="s">
        <v>35</v>
      </c>
      <c r="E14" s="35"/>
    </row>
    <row r="15" spans="1:9" ht="18.5" x14ac:dyDescent="0.45">
      <c r="B15" s="18" t="s">
        <v>42</v>
      </c>
      <c r="C15" s="22">
        <f>IF($C$2&lt;20,1,)</f>
        <v>0</v>
      </c>
      <c r="D15" s="13" t="s">
        <v>17</v>
      </c>
      <c r="E15" s="35"/>
    </row>
    <row r="16" spans="1:9" ht="18.5" x14ac:dyDescent="0.45">
      <c r="B16" s="17"/>
      <c r="C16" s="22">
        <f>IF($C$3&gt;20,1,0)</f>
        <v>0</v>
      </c>
      <c r="D16" s="13" t="s">
        <v>18</v>
      </c>
      <c r="E16" s="36"/>
      <c r="G16" t="s">
        <v>1</v>
      </c>
      <c r="H16" s="8">
        <v>0</v>
      </c>
      <c r="I16" s="8">
        <f>(190-3*$C$3)</f>
        <v>142</v>
      </c>
    </row>
    <row r="17" spans="2:9" ht="19" thickBot="1" x14ac:dyDescent="0.5">
      <c r="B17" s="19"/>
      <c r="C17" s="23">
        <f>IF($C$3&lt;2,1,0)</f>
        <v>0</v>
      </c>
      <c r="D17" s="16" t="s">
        <v>19</v>
      </c>
      <c r="E17" s="37"/>
      <c r="H17" s="8">
        <f>($C$2-15)*4</f>
        <v>80</v>
      </c>
      <c r="I17" s="8">
        <f>(190-3*$C$3)</f>
        <v>142</v>
      </c>
    </row>
    <row r="18" spans="2:9" ht="18.5" x14ac:dyDescent="0.45">
      <c r="B18" s="32" t="s">
        <v>29</v>
      </c>
      <c r="C18" s="21">
        <f>IF($C$8&lt;1,1,0)</f>
        <v>0</v>
      </c>
      <c r="D18" s="12" t="s">
        <v>20</v>
      </c>
      <c r="E18" s="34"/>
    </row>
    <row r="19" spans="2:9" ht="18.5" x14ac:dyDescent="0.45">
      <c r="B19" s="18" t="s">
        <v>43</v>
      </c>
      <c r="C19" s="22">
        <f>IF($C$4&lt;5,1,0)</f>
        <v>0</v>
      </c>
      <c r="D19" s="13" t="s">
        <v>21</v>
      </c>
      <c r="E19" s="35"/>
      <c r="G19" t="s">
        <v>0</v>
      </c>
      <c r="H19" s="8">
        <f>H4</f>
        <v>80</v>
      </c>
      <c r="I19" s="8">
        <f>I4</f>
        <v>100</v>
      </c>
    </row>
    <row r="20" spans="2:9" ht="18.5" x14ac:dyDescent="0.45">
      <c r="B20" s="18" t="s">
        <v>42</v>
      </c>
      <c r="C20" s="22">
        <f>IF(AND($C$4&gt;20,$C$8&lt;5),1,0)</f>
        <v>0</v>
      </c>
      <c r="D20" s="13" t="s">
        <v>22</v>
      </c>
      <c r="E20" s="35"/>
      <c r="H20" s="8">
        <f>($C$2-15)*4</f>
        <v>80</v>
      </c>
      <c r="I20" s="8">
        <f>(190-3*$C$3)</f>
        <v>142</v>
      </c>
    </row>
    <row r="21" spans="2:9" ht="19" thickBot="1" x14ac:dyDescent="0.5">
      <c r="B21" s="19"/>
      <c r="C21" s="23">
        <f>IF($C$4&gt;35,1,0)</f>
        <v>0</v>
      </c>
      <c r="D21" s="16" t="s">
        <v>23</v>
      </c>
      <c r="E21" s="37"/>
    </row>
    <row r="22" spans="2:9" ht="18.5" x14ac:dyDescent="0.45">
      <c r="B22" s="33" t="s">
        <v>30</v>
      </c>
      <c r="C22" s="21">
        <f>IF($C$9&gt;75,1,0)</f>
        <v>0</v>
      </c>
      <c r="D22" s="12" t="s">
        <v>24</v>
      </c>
      <c r="E22" s="34"/>
      <c r="G22" t="s">
        <v>3</v>
      </c>
      <c r="H22" s="8">
        <v>100</v>
      </c>
      <c r="I22" s="8">
        <f>(190-12*$C$8)</f>
        <v>127</v>
      </c>
    </row>
    <row r="23" spans="2:9" ht="18.5" x14ac:dyDescent="0.45">
      <c r="B23" s="18" t="s">
        <v>44</v>
      </c>
      <c r="C23" s="22">
        <f>IF(AND($C$22=0,$C$9&gt;45),1,0)</f>
        <v>0</v>
      </c>
      <c r="D23" s="13" t="s">
        <v>25</v>
      </c>
      <c r="E23" s="35"/>
      <c r="H23" s="8">
        <f>($C$2-15)*4</f>
        <v>80</v>
      </c>
      <c r="I23" s="8">
        <f>(190-3*$C$3)</f>
        <v>142</v>
      </c>
    </row>
    <row r="24" spans="2:9" ht="18.5" x14ac:dyDescent="0.45">
      <c r="B24" s="18" t="s">
        <v>42</v>
      </c>
      <c r="C24" s="22">
        <f>IF($C$10&gt;4000,1,0)</f>
        <v>1</v>
      </c>
      <c r="D24" s="13" t="s">
        <v>26</v>
      </c>
      <c r="E24" s="35"/>
    </row>
    <row r="25" spans="2:9" ht="18.5" x14ac:dyDescent="0.45">
      <c r="B25" s="14"/>
      <c r="C25" s="22">
        <f>IF(($C$6-10/9*$C$9)&gt;0,1,0)</f>
        <v>0</v>
      </c>
      <c r="D25" s="13" t="s">
        <v>27</v>
      </c>
      <c r="E25" s="35"/>
      <c r="G25" t="s">
        <v>2</v>
      </c>
      <c r="H25" s="8">
        <f>(100+2*$C$4)</f>
        <v>160</v>
      </c>
      <c r="I25" s="8">
        <v>190</v>
      </c>
    </row>
    <row r="26" spans="2:9" ht="19" thickBot="1" x14ac:dyDescent="0.5">
      <c r="B26" s="15"/>
      <c r="C26" s="23">
        <f>IF(($C$22+$C$23+$C$24+$C$25)=0,1,0)</f>
        <v>0</v>
      </c>
      <c r="D26" s="16" t="s">
        <v>37</v>
      </c>
      <c r="E26" s="37"/>
      <c r="H26" s="8">
        <f>(100+2*$C$4)</f>
        <v>160</v>
      </c>
      <c r="I26" s="8">
        <f>(190-12*$C$8)</f>
        <v>127</v>
      </c>
    </row>
    <row r="27" spans="2:9" ht="19" thickBot="1" x14ac:dyDescent="0.5">
      <c r="B27" s="20" t="s">
        <v>36</v>
      </c>
      <c r="C27" s="24">
        <f>IF(AND($C$3&lt;=12,$C$2&gt;=32,$C$4&gt;=30),1,0)</f>
        <v>0</v>
      </c>
      <c r="D27" s="38" t="s">
        <v>38</v>
      </c>
      <c r="E27" s="39"/>
    </row>
    <row r="28" spans="2:9" x14ac:dyDescent="0.35">
      <c r="G28" t="s">
        <v>8</v>
      </c>
      <c r="H28" s="8">
        <v>100</v>
      </c>
      <c r="I28" s="8">
        <f>(190-12*$C$8)</f>
        <v>127</v>
      </c>
    </row>
    <row r="29" spans="2:9" x14ac:dyDescent="0.35">
      <c r="D29" s="11"/>
      <c r="H29" s="8">
        <f>(100+2*$C$4)</f>
        <v>160</v>
      </c>
      <c r="I29" s="8">
        <f>(190-12*$C$8)</f>
        <v>127</v>
      </c>
    </row>
    <row r="31" spans="2:9" x14ac:dyDescent="0.35">
      <c r="G31" t="s">
        <v>4</v>
      </c>
      <c r="H31" s="8">
        <f>(100+2*$C$4)</f>
        <v>160</v>
      </c>
      <c r="I31" s="8">
        <f>(190-12*$C$8)</f>
        <v>127</v>
      </c>
    </row>
    <row r="32" spans="2:9" x14ac:dyDescent="0.35">
      <c r="H32" s="8">
        <f>100+2*$C$4/($C$4*2+12*$C$8)*90</f>
        <v>143.90243902439025</v>
      </c>
      <c r="I32" s="8">
        <f>190-12*$C$8/($C$4*2+12*$C$8)*90</f>
        <v>143.90243902439025</v>
      </c>
    </row>
    <row r="34" spans="7:9" x14ac:dyDescent="0.35">
      <c r="G34" t="s">
        <v>9</v>
      </c>
      <c r="H34" s="8">
        <f>100+2*$C$4/($C$4*2+12*$C$8)*90</f>
        <v>143.90243902439025</v>
      </c>
      <c r="I34" s="8">
        <f>190-12*$C$8/($C$4*2+12*$C$8)*90</f>
        <v>143.90243902439025</v>
      </c>
    </row>
    <row r="35" spans="7:9" x14ac:dyDescent="0.35">
      <c r="H35" s="8">
        <f>100+2*$C$4/($C$4*2+12*$C$8)*90</f>
        <v>143.90243902439025</v>
      </c>
      <c r="I35" s="8">
        <f>10+3*$C$6</f>
        <v>55</v>
      </c>
    </row>
    <row r="37" spans="7:9" x14ac:dyDescent="0.35">
      <c r="G37" t="s">
        <v>5</v>
      </c>
      <c r="H37" s="8">
        <v>100</v>
      </c>
      <c r="I37" s="8">
        <f>10+3*$C$6</f>
        <v>55</v>
      </c>
    </row>
    <row r="38" spans="7:9" x14ac:dyDescent="0.35">
      <c r="H38" s="8">
        <f>100+2*$C$4/($C$4*2+12*$C$8)*90</f>
        <v>143.90243902439025</v>
      </c>
      <c r="I38" s="8">
        <f>10+3*$C$6</f>
        <v>55</v>
      </c>
    </row>
  </sheetData>
  <conditionalFormatting sqref="C27:C32">
    <cfRule type="cellIs" dxfId="12" priority="13" operator="equal">
      <formula>1</formula>
    </cfRule>
  </conditionalFormatting>
  <conditionalFormatting sqref="C15:C16">
    <cfRule type="cellIs" dxfId="11" priority="12" operator="equal">
      <formula>1</formula>
    </cfRule>
  </conditionalFormatting>
  <conditionalFormatting sqref="C17:C18">
    <cfRule type="cellIs" dxfId="10" priority="11" operator="equal">
      <formula>1</formula>
    </cfRule>
  </conditionalFormatting>
  <conditionalFormatting sqref="C19">
    <cfRule type="cellIs" dxfId="9" priority="10" operator="equal">
      <formula>1</formula>
    </cfRule>
  </conditionalFormatting>
  <conditionalFormatting sqref="C20">
    <cfRule type="cellIs" dxfId="8" priority="9" operator="equal">
      <formula>1</formula>
    </cfRule>
  </conditionalFormatting>
  <conditionalFormatting sqref="C21">
    <cfRule type="cellIs" dxfId="7" priority="8" operator="equal">
      <formula>1</formula>
    </cfRule>
  </conditionalFormatting>
  <conditionalFormatting sqref="C22">
    <cfRule type="cellIs" dxfId="6" priority="7" operator="equal">
      <formula>1</formula>
    </cfRule>
  </conditionalFormatting>
  <conditionalFormatting sqref="C23">
    <cfRule type="cellIs" dxfId="5" priority="6" operator="equal">
      <formula>1</formula>
    </cfRule>
  </conditionalFormatting>
  <conditionalFormatting sqref="C24">
    <cfRule type="cellIs" dxfId="4" priority="5" operator="equal">
      <formula>1</formula>
    </cfRule>
  </conditionalFormatting>
  <conditionalFormatting sqref="C25">
    <cfRule type="cellIs" dxfId="3" priority="4" operator="equal">
      <formula>1</formula>
    </cfRule>
  </conditionalFormatting>
  <conditionalFormatting sqref="C26">
    <cfRule type="cellIs" dxfId="2" priority="3" operator="equal">
      <formula>1</formula>
    </cfRule>
  </conditionalFormatting>
  <conditionalFormatting sqref="C13">
    <cfRule type="cellIs" dxfId="1" priority="2" operator="equal">
      <formula>1</formula>
    </cfRule>
  </conditionalFormatting>
  <conditionalFormatting sqref="C14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McRae, Rick</dc:creator>
  <cp:lastModifiedBy>McRae, Rick</cp:lastModifiedBy>
  <dcterms:created xsi:type="dcterms:W3CDTF">2026-05-18T05:14:23Z</dcterms:created>
  <dcterms:modified xsi:type="dcterms:W3CDTF">2026-05-20T02:25:41Z</dcterms:modified>
</cp:coreProperties>
</file>